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RIAN~1\AppData\Local\Temp\Rar$DIa13976.18483\"/>
    </mc:Choice>
  </mc:AlternateContent>
  <xr:revisionPtr revIDLastSave="0" documentId="13_ncr:1_{CBD9D96A-A010-4C25-837F-7DBC27922D2E}" xr6:coauthVersionLast="47" xr6:coauthVersionMax="47" xr10:uidLastSave="{00000000-0000-0000-0000-000000000000}"/>
  <bookViews>
    <workbookView xWindow="-110" yWindow="-110" windowWidth="19420" windowHeight="10420" xr2:uid="{C1BFD33F-5052-4D23-8BF8-1068553FC843}"/>
  </bookViews>
  <sheets>
    <sheet name="Portada" sheetId="7" r:id="rId1"/>
    <sheet name="Emisiones Escenario Previo" sheetId="2" r:id="rId2"/>
    <sheet name="Resultados Screen3" sheetId="6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8" i="6" l="1"/>
  <c r="C22" i="6"/>
  <c r="C23" i="6"/>
  <c r="C24" i="6"/>
  <c r="C25" i="6"/>
  <c r="C26" i="6"/>
  <c r="C27" i="6"/>
  <c r="C21" i="6"/>
  <c r="C20" i="6"/>
  <c r="B10" i="6"/>
  <c r="D4" i="2" l="1"/>
  <c r="E34" i="2" s="1"/>
  <c r="B15" i="6" l="1"/>
  <c r="D27" i="6" l="1"/>
  <c r="D21" i="6"/>
  <c r="D22" i="6"/>
  <c r="D23" i="6"/>
  <c r="D28" i="6"/>
  <c r="B16" i="6"/>
  <c r="D25" i="6"/>
  <c r="D24" i="6"/>
  <c r="D20" i="6"/>
  <c r="C31" i="6" s="1"/>
  <c r="D26" i="6"/>
  <c r="E32" i="2" l="1"/>
  <c r="E33" i="2"/>
  <c r="B25" i="2" l="1"/>
  <c r="E22" i="2" l="1"/>
  <c r="E21" i="2"/>
  <c r="E11" i="2"/>
  <c r="B13" i="2"/>
  <c r="C13" i="2" s="1"/>
  <c r="B12" i="2"/>
  <c r="C12" i="2" s="1"/>
  <c r="B11" i="2"/>
  <c r="C11" i="2" s="1"/>
  <c r="B10" i="2"/>
  <c r="C10" i="2" s="1"/>
  <c r="C9" i="2"/>
  <c r="E23" i="2" l="1"/>
  <c r="E24" i="2" s="1"/>
  <c r="C39" i="2" s="1"/>
  <c r="E12" i="2"/>
  <c r="E13" i="2" s="1"/>
  <c r="B14" i="2"/>
  <c r="C38" i="2" l="1"/>
  <c r="C14" i="2"/>
  <c r="E35" i="2" l="1"/>
  <c r="C40" i="2" l="1"/>
  <c r="D38" i="2"/>
</calcChain>
</file>

<file path=xl/sharedStrings.xml><?xml version="1.0" encoding="utf-8"?>
<sst xmlns="http://schemas.openxmlformats.org/spreadsheetml/2006/main" count="81" uniqueCount="73">
  <si>
    <t>Ea (%)</t>
  </si>
  <si>
    <t>Humectación Camino Interno</t>
  </si>
  <si>
    <t>Dimensiones pila supuesta</t>
  </si>
  <si>
    <t>Cara Pila</t>
  </si>
  <si>
    <t>Cubierta</t>
  </si>
  <si>
    <t>Lado 1</t>
  </si>
  <si>
    <t>Lado 2</t>
  </si>
  <si>
    <t>Lado 3</t>
  </si>
  <si>
    <t>Lado 4</t>
  </si>
  <si>
    <t xml:space="preserve">Total </t>
  </si>
  <si>
    <t>Valor</t>
  </si>
  <si>
    <t>k</t>
  </si>
  <si>
    <t>s (%)</t>
  </si>
  <si>
    <t>Fe (kg/ha-día)</t>
  </si>
  <si>
    <t>Na</t>
  </si>
  <si>
    <t>E (kg/día)</t>
  </si>
  <si>
    <t>EROSIÓN EÓLICA</t>
  </si>
  <si>
    <t>Flujo mineral</t>
  </si>
  <si>
    <t>Mes</t>
  </si>
  <si>
    <t>U (m/s)</t>
  </si>
  <si>
    <t>M (%)</t>
  </si>
  <si>
    <t xml:space="preserve">- </t>
  </si>
  <si>
    <t>CARGUÍO Y VOLTEO DE MATERIAL</t>
  </si>
  <si>
    <t xml:space="preserve">Parámetros </t>
  </si>
  <si>
    <t>f (%)</t>
  </si>
  <si>
    <t>Días período</t>
  </si>
  <si>
    <t>Fe (kg/t)</t>
  </si>
  <si>
    <t>Na (t/esc)</t>
  </si>
  <si>
    <t>E (kg/esc)</t>
  </si>
  <si>
    <t>Camiones por día</t>
  </si>
  <si>
    <t>K</t>
  </si>
  <si>
    <t>S (%)</t>
  </si>
  <si>
    <t>W (Ton)</t>
  </si>
  <si>
    <t>Fe (g/km)</t>
  </si>
  <si>
    <t>TRÁNSITO DE VEHÍCULOS PESADOS POR CAMINOS NO PAVIMENTADOS</t>
  </si>
  <si>
    <t>Parámetros</t>
  </si>
  <si>
    <t>Longitud camino (km)</t>
  </si>
  <si>
    <t>Na (km/día)</t>
  </si>
  <si>
    <t>Tránsito por caminos no pavimentados</t>
  </si>
  <si>
    <t>Emisión (t/escenario)</t>
  </si>
  <si>
    <t>Emisión Total (t/escenario)</t>
  </si>
  <si>
    <t>CÁLCULO VELOCIDAD SEDIMENTACIÓN</t>
  </si>
  <si>
    <t>Re (&lt;2.000 para laminar)</t>
  </si>
  <si>
    <t>ESCENARIO PREVIO</t>
  </si>
  <si>
    <r>
      <t>Superficie (m</t>
    </r>
    <r>
      <rPr>
        <b/>
        <vertAlign val="superscript"/>
        <sz val="11"/>
        <color theme="0"/>
        <rFont val="Century Gothic"/>
        <family val="2"/>
      </rPr>
      <t>2</t>
    </r>
    <r>
      <rPr>
        <b/>
        <sz val="11"/>
        <color theme="0"/>
        <rFont val="Century Gothic"/>
        <family val="2"/>
      </rPr>
      <t>)</t>
    </r>
  </si>
  <si>
    <t>Superficie (ha)</t>
  </si>
  <si>
    <t>Cantidad total recepcionada (t)</t>
  </si>
  <si>
    <t>Distancia (m)</t>
  </si>
  <si>
    <t>PUNTO MÁXIMO IMPACTO</t>
  </si>
  <si>
    <t>Actividad</t>
  </si>
  <si>
    <t>Erosión eólica</t>
  </si>
  <si>
    <t>Carguío y volteo de material</t>
  </si>
  <si>
    <t>Medida de Abatimiento</t>
  </si>
  <si>
    <t>ANÁLISIS Y ESTIMACIÓN DE POSIBLES EFECTOS AMBIENTALES - CARGOS N°1 Y N°2</t>
  </si>
  <si>
    <t>Puerto Punta Caldera</t>
  </si>
  <si>
    <r>
      <t>RESOLUCIÓN EXENTA N</t>
    </r>
    <r>
      <rPr>
        <sz val="16"/>
        <color theme="1"/>
        <rFont val="Symbol"/>
        <family val="1"/>
        <charset val="2"/>
      </rPr>
      <t>°</t>
    </r>
    <r>
      <rPr>
        <sz val="16"/>
        <color theme="1"/>
        <rFont val="Century Gothic"/>
        <family val="1"/>
      </rPr>
      <t xml:space="preserve"> 1/ROL D-118-2021</t>
    </r>
  </si>
  <si>
    <t>2. INVENTARIO DE EMISIONES ESCENARIO PREVIO (AGOSTO 2020 - ENERO 2021)</t>
  </si>
  <si>
    <t>FÓRMULAS UTILIZADAS</t>
  </si>
  <si>
    <t>Diámetro (m)</t>
  </si>
  <si>
    <t>Velocidad sedimentación (m/s)</t>
  </si>
  <si>
    <t>Fuente: Propiedades Físico Quimicas del Suelo</t>
  </si>
  <si>
    <t>Fuente: Guideline for Plume Dispersion Modelling, 2012.</t>
  </si>
  <si>
    <r>
      <t>ρ (suelo arenoso) (kg/m</t>
    </r>
    <r>
      <rPr>
        <vertAlign val="superscript"/>
        <sz val="11"/>
        <color theme="1"/>
        <rFont val="Century Gothic"/>
        <family val="2"/>
      </rPr>
      <t>3</t>
    </r>
    <r>
      <rPr>
        <sz val="11"/>
        <color theme="1"/>
        <rFont val="Century Gothic"/>
        <family val="2"/>
      </rPr>
      <t>)</t>
    </r>
  </si>
  <si>
    <r>
      <t>ρ (hierro) (kg/m</t>
    </r>
    <r>
      <rPr>
        <vertAlign val="superscript"/>
        <sz val="11"/>
        <color theme="1"/>
        <rFont val="Century Gothic"/>
        <family val="2"/>
      </rPr>
      <t>3</t>
    </r>
    <r>
      <rPr>
        <sz val="11"/>
        <color theme="1"/>
        <rFont val="Century Gothic"/>
        <family val="2"/>
      </rPr>
      <t>)</t>
    </r>
  </si>
  <si>
    <r>
      <t>ρ (partícula) (kg/m</t>
    </r>
    <r>
      <rPr>
        <vertAlign val="superscript"/>
        <sz val="11"/>
        <color theme="1"/>
        <rFont val="Century Gothic"/>
        <family val="2"/>
      </rPr>
      <t>3</t>
    </r>
    <r>
      <rPr>
        <sz val="11"/>
        <color theme="1"/>
        <rFont val="Century Gothic"/>
        <family val="2"/>
      </rPr>
      <t>)</t>
    </r>
  </si>
  <si>
    <r>
      <t>ρ (aire a 20°C y 1 atm) (kg/m</t>
    </r>
    <r>
      <rPr>
        <vertAlign val="superscript"/>
        <sz val="11"/>
        <color theme="1"/>
        <rFont val="Century Gothic"/>
        <family val="2"/>
      </rPr>
      <t>3</t>
    </r>
    <r>
      <rPr>
        <sz val="11"/>
        <color theme="1"/>
        <rFont val="Century Gothic"/>
        <family val="2"/>
      </rPr>
      <t>)</t>
    </r>
  </si>
  <si>
    <t>μ (aire a 20°C y 1 atm) (kg/m×s)</t>
  </si>
  <si>
    <r>
      <t>Gravedad (m/s</t>
    </r>
    <r>
      <rPr>
        <vertAlign val="superscript"/>
        <sz val="11"/>
        <color theme="1"/>
        <rFont val="Century Gothic"/>
        <family val="2"/>
      </rPr>
      <t>2</t>
    </r>
    <r>
      <rPr>
        <sz val="11"/>
        <color theme="1"/>
        <rFont val="Century Gothic"/>
        <family val="2"/>
      </rPr>
      <t>)</t>
    </r>
  </si>
  <si>
    <r>
      <t>Concentración Máxima Horaria  (µg/m</t>
    </r>
    <r>
      <rPr>
        <b/>
        <vertAlign val="superscript"/>
        <sz val="11"/>
        <color theme="1"/>
        <rFont val="Century Gothic"/>
        <family val="2"/>
      </rPr>
      <t>3</t>
    </r>
    <r>
      <rPr>
        <b/>
        <sz val="11"/>
        <color theme="1"/>
        <rFont val="Century Gothic"/>
        <family val="2"/>
      </rPr>
      <t>)</t>
    </r>
  </si>
  <si>
    <r>
      <t>Concentración Máxima Anual (µg/m</t>
    </r>
    <r>
      <rPr>
        <b/>
        <vertAlign val="superscript"/>
        <sz val="11"/>
        <color theme="1"/>
        <rFont val="Century Gothic"/>
        <family val="2"/>
      </rPr>
      <t>3</t>
    </r>
    <r>
      <rPr>
        <b/>
        <sz val="11"/>
        <color theme="1"/>
        <rFont val="Century Gothic"/>
        <family val="2"/>
      </rPr>
      <t>)</t>
    </r>
  </si>
  <si>
    <r>
      <t>Deposición Máxima Anual (mg/m</t>
    </r>
    <r>
      <rPr>
        <b/>
        <vertAlign val="superscript"/>
        <sz val="11"/>
        <color theme="1"/>
        <rFont val="Century Gothic"/>
        <family val="2"/>
      </rPr>
      <t>2</t>
    </r>
    <r>
      <rPr>
        <b/>
        <sz val="11"/>
        <color theme="1"/>
        <rFont val="Century Gothic"/>
        <family val="2"/>
      </rPr>
      <t>s)</t>
    </r>
  </si>
  <si>
    <t>2. RESULTADOS MODELACIÓN SCREEN3 Y PROYECCIÓN DEPOSICIÓN MPS</t>
  </si>
  <si>
    <t>APENDICE 1. INVENTARIO DE EMISIONES Y RESULTADOS MODELACIÓN SCREEN3 MPS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</si>
</sst>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%"/>
    <numFmt numFmtId="165" formatCode="#,##0.000"/>
    <numFmt numFmtId="166" formatCode="0.000"/>
    <numFmt numFmtId="167" formatCode="0.000E+0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entury Gothic"/>
      <family val="2"/>
    </font>
    <font>
      <b/>
      <sz val="11"/>
      <color theme="0"/>
      <name val="Century Gothic"/>
      <family val="2"/>
    </font>
    <font>
      <b/>
      <sz val="11"/>
      <color theme="1"/>
      <name val="Century Gothic"/>
      <family val="2"/>
    </font>
    <font>
      <b/>
      <vertAlign val="superscript"/>
      <sz val="11"/>
      <color theme="0"/>
      <name val="Century Gothic"/>
      <family val="2"/>
    </font>
    <font>
      <u/>
      <sz val="11"/>
      <color theme="10"/>
      <name val="Calibri"/>
      <family val="2"/>
      <scheme val="minor"/>
    </font>
    <font>
      <b/>
      <sz val="18"/>
      <color theme="1"/>
      <name val="Century Gothic"/>
      <family val="1"/>
    </font>
    <font>
      <sz val="16"/>
      <color theme="1"/>
      <name val="Century Gothic"/>
      <family val="1"/>
    </font>
    <font>
      <sz val="16"/>
      <color theme="1"/>
      <name val="Symbol"/>
      <family val="1"/>
      <charset val="2"/>
    </font>
    <font>
      <vertAlign val="superscript"/>
      <sz val="11"/>
      <color theme="1"/>
      <name val="Century Gothic"/>
      <family val="2"/>
    </font>
    <font>
      <sz val="11"/>
      <name val="Century Gothic"/>
      <family val="2"/>
    </font>
    <font>
      <b/>
      <vertAlign val="superscript"/>
      <sz val="11"/>
      <color theme="1"/>
      <name val="Century Gothic"/>
      <family val="2"/>
    </font>
    <font>
      <sz val="8"/>
      <color theme="1"/>
      <name val="Century Gothic"/>
      <family val="2"/>
    </font>
    <font>
      <sz val="8"/>
      <name val="Century Gothic"/>
      <family val="2"/>
    </font>
  </fonts>
  <fills count="5">
    <fill>
      <patternFill patternType="none"/>
    </fill>
    <fill>
      <patternFill patternType="gray125"/>
    </fill>
    <fill>
      <patternFill patternType="solid">
        <fgColor rgb="FF3CC6AF"/>
        <bgColor indexed="64"/>
      </patternFill>
    </fill>
    <fill>
      <patternFill patternType="solid">
        <fgColor rgb="FF00A99D"/>
        <bgColor indexed="64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6" fillId="0" borderId="0" applyNumberFormat="0" applyFill="0" applyBorder="0" applyAlignment="0" applyProtection="0"/>
  </cellStyleXfs>
  <cellXfs count="127">
    <xf numFmtId="0" fontId="0" fillId="0" borderId="0" xfId="0"/>
    <xf numFmtId="0" fontId="2" fillId="0" borderId="0" xfId="0" applyFont="1" applyAlignment="1">
      <alignment horizontal="justify" vertical="center" wrapText="1"/>
    </xf>
    <xf numFmtId="0" fontId="3" fillId="3" borderId="1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17" fontId="4" fillId="0" borderId="6" xfId="0" applyNumberFormat="1" applyFont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center" vertical="center" wrapText="1"/>
    </xf>
    <xf numFmtId="0" fontId="3" fillId="3" borderId="19" xfId="0" applyFont="1" applyFill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center" vertical="center" wrapText="1"/>
    </xf>
    <xf numFmtId="0" fontId="3" fillId="3" borderId="26" xfId="0" applyFont="1" applyFill="1" applyBorder="1" applyAlignment="1">
      <alignment horizontal="center" vertical="center" wrapText="1"/>
    </xf>
    <xf numFmtId="0" fontId="3" fillId="3" borderId="27" xfId="0" applyFont="1" applyFill="1" applyBorder="1" applyAlignment="1">
      <alignment horizontal="center" vertical="center" wrapText="1"/>
    </xf>
    <xf numFmtId="0" fontId="3" fillId="3" borderId="28" xfId="0" applyFont="1" applyFill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center" vertical="center"/>
    </xf>
    <xf numFmtId="17" fontId="2" fillId="0" borderId="4" xfId="0" applyNumberFormat="1" applyFont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Fill="1"/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/>
    </xf>
    <xf numFmtId="165" fontId="2" fillId="0" borderId="5" xfId="0" applyNumberFormat="1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2" fontId="2" fillId="0" borderId="11" xfId="0" applyNumberFormat="1" applyFont="1" applyBorder="1" applyAlignment="1">
      <alignment horizontal="center" vertical="center"/>
    </xf>
    <xf numFmtId="166" fontId="2" fillId="0" borderId="5" xfId="0" applyNumberFormat="1" applyFont="1" applyBorder="1" applyAlignment="1">
      <alignment horizontal="center" vertical="center"/>
    </xf>
    <xf numFmtId="2" fontId="4" fillId="0" borderId="8" xfId="0" applyNumberFormat="1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3" fontId="4" fillId="0" borderId="7" xfId="0" applyNumberFormat="1" applyFont="1" applyBorder="1" applyAlignment="1">
      <alignment horizontal="center" vertical="center"/>
    </xf>
    <xf numFmtId="165" fontId="4" fillId="0" borderId="8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4" fontId="2" fillId="0" borderId="0" xfId="0" applyNumberFormat="1" applyFont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167" fontId="2" fillId="0" borderId="5" xfId="0" applyNumberFormat="1" applyFont="1" applyBorder="1" applyAlignment="1">
      <alignment horizontal="center" vertical="center"/>
    </xf>
    <xf numFmtId="4" fontId="2" fillId="0" borderId="5" xfId="0" applyNumberFormat="1" applyFont="1" applyBorder="1" applyAlignment="1">
      <alignment horizontal="center" vertical="center"/>
    </xf>
    <xf numFmtId="164" fontId="2" fillId="0" borderId="5" xfId="1" applyNumberFormat="1" applyFont="1" applyBorder="1" applyAlignment="1">
      <alignment horizontal="center"/>
    </xf>
    <xf numFmtId="4" fontId="4" fillId="0" borderId="8" xfId="0" applyNumberFormat="1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2" fontId="2" fillId="0" borderId="7" xfId="0" applyNumberFormat="1" applyFont="1" applyBorder="1" applyAlignment="1">
      <alignment horizontal="center" vertical="center"/>
    </xf>
    <xf numFmtId="2" fontId="2" fillId="0" borderId="5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4" fillId="0" borderId="0" xfId="0" applyFont="1"/>
    <xf numFmtId="0" fontId="2" fillId="0" borderId="0" xfId="0" applyFont="1" applyAlignment="1">
      <alignment horizontal="center"/>
    </xf>
    <xf numFmtId="0" fontId="2" fillId="0" borderId="24" xfId="0" applyFont="1" applyBorder="1" applyAlignment="1">
      <alignment horizontal="center"/>
    </xf>
    <xf numFmtId="0" fontId="2" fillId="0" borderId="14" xfId="0" applyFont="1" applyBorder="1"/>
    <xf numFmtId="2" fontId="2" fillId="0" borderId="15" xfId="0" applyNumberFormat="1" applyFont="1" applyBorder="1" applyAlignment="1">
      <alignment horizontal="center"/>
    </xf>
    <xf numFmtId="0" fontId="11" fillId="0" borderId="0" xfId="0" applyFont="1"/>
    <xf numFmtId="0" fontId="2" fillId="0" borderId="23" xfId="0" applyFont="1" applyBorder="1"/>
    <xf numFmtId="0" fontId="2" fillId="0" borderId="21" xfId="0" applyFont="1" applyBorder="1"/>
    <xf numFmtId="2" fontId="2" fillId="0" borderId="22" xfId="0" applyNumberFormat="1" applyFont="1" applyBorder="1" applyAlignment="1">
      <alignment horizontal="center"/>
    </xf>
    <xf numFmtId="165" fontId="2" fillId="0" borderId="24" xfId="0" applyNumberFormat="1" applyFont="1" applyBorder="1" applyAlignment="1">
      <alignment horizontal="center"/>
    </xf>
    <xf numFmtId="11" fontId="2" fillId="0" borderId="24" xfId="0" applyNumberFormat="1" applyFont="1" applyBorder="1" applyAlignment="1">
      <alignment horizontal="center"/>
    </xf>
    <xf numFmtId="11" fontId="2" fillId="0" borderId="22" xfId="0" applyNumberFormat="1" applyFont="1" applyBorder="1" applyAlignment="1">
      <alignment horizontal="center"/>
    </xf>
    <xf numFmtId="0" fontId="2" fillId="0" borderId="21" xfId="0" applyFont="1" applyBorder="1" applyAlignment="1">
      <alignment vertical="center"/>
    </xf>
    <xf numFmtId="166" fontId="2" fillId="0" borderId="22" xfId="0" applyNumberFormat="1" applyFont="1" applyBorder="1" applyAlignment="1">
      <alignment horizontal="center" vertical="center"/>
    </xf>
    <xf numFmtId="0" fontId="4" fillId="4" borderId="9" xfId="0" applyFont="1" applyFill="1" applyBorder="1" applyAlignment="1">
      <alignment horizontal="center" vertical="center"/>
    </xf>
    <xf numFmtId="0" fontId="4" fillId="4" borderId="10" xfId="0" applyFont="1" applyFill="1" applyBorder="1" applyAlignment="1">
      <alignment horizontal="center" vertical="center" wrapText="1"/>
    </xf>
    <xf numFmtId="0" fontId="4" fillId="4" borderId="1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/>
    </xf>
    <xf numFmtId="166" fontId="2" fillId="0" borderId="1" xfId="0" applyNumberFormat="1" applyFont="1" applyFill="1" applyBorder="1" applyAlignment="1">
      <alignment horizontal="center"/>
    </xf>
    <xf numFmtId="2" fontId="2" fillId="0" borderId="1" xfId="0" applyNumberFormat="1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/>
    </xf>
    <xf numFmtId="166" fontId="2" fillId="0" borderId="7" xfId="0" applyNumberFormat="1" applyFont="1" applyFill="1" applyBorder="1" applyAlignment="1">
      <alignment horizontal="center"/>
    </xf>
    <xf numFmtId="0" fontId="13" fillId="0" borderId="0" xfId="0" applyFont="1" applyAlignment="1">
      <alignment horizontal="center"/>
    </xf>
    <xf numFmtId="0" fontId="14" fillId="0" borderId="0" xfId="2" applyFont="1"/>
    <xf numFmtId="0" fontId="2" fillId="0" borderId="14" xfId="0" applyFont="1" applyBorder="1" applyAlignment="1">
      <alignment wrapText="1"/>
    </xf>
    <xf numFmtId="166" fontId="4" fillId="0" borderId="15" xfId="0" applyNumberFormat="1" applyFont="1" applyBorder="1" applyAlignment="1">
      <alignment horizontal="center" vertical="center"/>
    </xf>
    <xf numFmtId="0" fontId="2" fillId="4" borderId="14" xfId="0" applyFont="1" applyFill="1" applyBorder="1" applyAlignment="1">
      <alignment horizontal="center"/>
    </xf>
    <xf numFmtId="0" fontId="2" fillId="4" borderId="15" xfId="0" applyFont="1" applyFill="1" applyBorder="1" applyAlignment="1">
      <alignment horizontal="center"/>
    </xf>
    <xf numFmtId="0" fontId="2" fillId="4" borderId="23" xfId="0" applyFont="1" applyFill="1" applyBorder="1" applyAlignment="1">
      <alignment horizontal="center"/>
    </xf>
    <xf numFmtId="0" fontId="2" fillId="4" borderId="24" xfId="0" applyFont="1" applyFill="1" applyBorder="1" applyAlignment="1">
      <alignment horizontal="center"/>
    </xf>
    <xf numFmtId="0" fontId="2" fillId="4" borderId="21" xfId="0" applyFont="1" applyFill="1" applyBorder="1" applyAlignment="1">
      <alignment horizontal="center"/>
    </xf>
    <xf numFmtId="0" fontId="2" fillId="4" borderId="22" xfId="0" applyFont="1" applyFill="1" applyBorder="1" applyAlignment="1">
      <alignment horizontal="center"/>
    </xf>
    <xf numFmtId="2" fontId="2" fillId="0" borderId="5" xfId="0" applyNumberFormat="1" applyFont="1" applyFill="1" applyBorder="1" applyAlignment="1">
      <alignment horizontal="center"/>
    </xf>
    <xf numFmtId="2" fontId="2" fillId="0" borderId="8" xfId="0" applyNumberFormat="1" applyFont="1" applyFill="1" applyBorder="1" applyAlignment="1">
      <alignment horizontal="center"/>
    </xf>
    <xf numFmtId="2" fontId="2" fillId="0" borderId="7" xfId="0" applyNumberFormat="1" applyFont="1" applyFill="1" applyBorder="1" applyAlignment="1">
      <alignment horizontal="center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17" fontId="2" fillId="0" borderId="4" xfId="0" applyNumberFormat="1" applyFont="1" applyBorder="1" applyAlignment="1">
      <alignment horizontal="center" vertical="center" wrapText="1"/>
    </xf>
    <xf numFmtId="17" fontId="2" fillId="0" borderId="1" xfId="0" applyNumberFormat="1" applyFont="1" applyBorder="1" applyAlignment="1">
      <alignment horizontal="center" vertical="center" wrapText="1"/>
    </xf>
    <xf numFmtId="17" fontId="2" fillId="0" borderId="6" xfId="0" applyNumberFormat="1" applyFont="1" applyBorder="1" applyAlignment="1">
      <alignment horizontal="center" vertical="center" wrapText="1"/>
    </xf>
    <xf numFmtId="17" fontId="2" fillId="0" borderId="7" xfId="0" applyNumberFormat="1" applyFont="1" applyBorder="1" applyAlignment="1">
      <alignment horizontal="center" vertical="center" wrapText="1"/>
    </xf>
    <xf numFmtId="2" fontId="2" fillId="0" borderId="5" xfId="0" applyNumberFormat="1" applyFont="1" applyBorder="1" applyAlignment="1">
      <alignment horizontal="center" vertical="center"/>
    </xf>
    <xf numFmtId="2" fontId="2" fillId="0" borderId="8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4" fontId="2" fillId="0" borderId="16" xfId="0" applyNumberFormat="1" applyFont="1" applyBorder="1" applyAlignment="1">
      <alignment horizontal="center" vertical="center"/>
    </xf>
    <xf numFmtId="4" fontId="2" fillId="0" borderId="17" xfId="0" applyNumberFormat="1" applyFont="1" applyBorder="1" applyAlignment="1">
      <alignment horizontal="center" vertical="center"/>
    </xf>
    <xf numFmtId="0" fontId="3" fillId="3" borderId="9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20" xfId="0" applyFont="1" applyFill="1" applyBorder="1" applyAlignment="1">
      <alignment horizont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4" fontId="2" fillId="4" borderId="7" xfId="0" applyNumberFormat="1" applyFont="1" applyFill="1" applyBorder="1" applyAlignment="1">
      <alignment horizontal="center" vertical="center"/>
    </xf>
    <xf numFmtId="4" fontId="2" fillId="4" borderId="8" xfId="0" applyNumberFormat="1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9" fontId="2" fillId="0" borderId="7" xfId="0" applyNumberFormat="1" applyFont="1" applyBorder="1" applyAlignment="1">
      <alignment horizontal="center" vertical="center" wrapText="1"/>
    </xf>
    <xf numFmtId="9" fontId="2" fillId="0" borderId="8" xfId="0" applyNumberFormat="1" applyFont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20" xfId="0" applyFont="1" applyFill="1" applyBorder="1" applyAlignment="1">
      <alignment horizontal="center" vertical="center" wrapText="1"/>
    </xf>
    <xf numFmtId="0" fontId="3" fillId="3" borderId="29" xfId="0" applyFont="1" applyFill="1" applyBorder="1" applyAlignment="1">
      <alignment horizontal="center" vertical="center" wrapText="1"/>
    </xf>
    <xf numFmtId="0" fontId="3" fillId="3" borderId="30" xfId="0" applyFont="1" applyFill="1" applyBorder="1" applyAlignment="1">
      <alignment horizontal="center" vertical="center" wrapText="1"/>
    </xf>
    <xf numFmtId="166" fontId="2" fillId="0" borderId="7" xfId="0" applyNumberFormat="1" applyFont="1" applyFill="1" applyBorder="1" applyAlignment="1">
      <alignment horizontal="center"/>
    </xf>
    <xf numFmtId="166" fontId="2" fillId="0" borderId="8" xfId="0" applyNumberFormat="1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/>
    </xf>
    <xf numFmtId="0" fontId="4" fillId="0" borderId="7" xfId="0" applyFont="1" applyFill="1" applyBorder="1" applyAlignment="1">
      <alignment horizontal="center"/>
    </xf>
    <xf numFmtId="0" fontId="3" fillId="3" borderId="28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/>
    </xf>
    <xf numFmtId="0" fontId="3" fillId="3" borderId="20" xfId="0" applyFont="1" applyFill="1" applyBorder="1" applyAlignment="1">
      <alignment horizontal="center"/>
    </xf>
    <xf numFmtId="0" fontId="3" fillId="3" borderId="14" xfId="0" applyFont="1" applyFill="1" applyBorder="1" applyAlignment="1">
      <alignment horizontal="center"/>
    </xf>
    <xf numFmtId="0" fontId="3" fillId="3" borderId="12" xfId="0" applyFont="1" applyFill="1" applyBorder="1" applyAlignment="1">
      <alignment horizontal="center"/>
    </xf>
  </cellXfs>
  <cellStyles count="3">
    <cellStyle name="Hipervínculo" xfId="2" builtinId="8"/>
    <cellStyle name="Normal" xfId="0" builtinId="0"/>
    <cellStyle name="Porcentaje" xfId="1" builtinId="5"/>
  </cellStyles>
  <dxfs count="0"/>
  <tableStyles count="0" defaultTableStyle="TableStyleMedium2" defaultPivotStyle="PivotStyleLight16"/>
  <colors>
    <mruColors>
      <color rgb="FF3CC6A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203731</xdr:colOff>
      <xdr:row>0</xdr:row>
      <xdr:rowOff>63501</xdr:rowOff>
    </xdr:from>
    <xdr:to>
      <xdr:col>7</xdr:col>
      <xdr:colOff>727846</xdr:colOff>
      <xdr:row>7</xdr:row>
      <xdr:rowOff>63501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849B9081-9A3A-437E-A253-8C8908EA4F5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90031" y="63501"/>
          <a:ext cx="1286115" cy="12890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412750</xdr:colOff>
      <xdr:row>3</xdr:row>
      <xdr:rowOff>85724</xdr:rowOff>
    </xdr:from>
    <xdr:to>
      <xdr:col>0</xdr:col>
      <xdr:colOff>1397000</xdr:colOff>
      <xdr:row>5</xdr:row>
      <xdr:rowOff>176019</xdr:rowOff>
    </xdr:to>
    <xdr:pic>
      <xdr:nvPicPr>
        <xdr:cNvPr id="2" name="Imagen 1" descr="Teoría de la centrifugación">
          <a:extLst>
            <a:ext uri="{FF2B5EF4-FFF2-40B4-BE49-F238E27FC236}">
              <a16:creationId xmlns:a16="http://schemas.microsoft.com/office/drawing/2014/main" id="{D0163634-43B5-4D6E-9C5B-7A45B42DF282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3229" t="37552" r="29467" b="40751"/>
        <a:stretch/>
      </xdr:blipFill>
      <xdr:spPr bwMode="auto">
        <a:xfrm>
          <a:off x="412750" y="276224"/>
          <a:ext cx="984250" cy="43319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1624013</xdr:colOff>
      <xdr:row>3</xdr:row>
      <xdr:rowOff>58738</xdr:rowOff>
    </xdr:from>
    <xdr:to>
      <xdr:col>1</xdr:col>
      <xdr:colOff>577850</xdr:colOff>
      <xdr:row>5</xdr:row>
      <xdr:rowOff>173888</xdr:rowOff>
    </xdr:to>
    <xdr:pic>
      <xdr:nvPicPr>
        <xdr:cNvPr id="3" name="Imagen 2" descr="Flujo turbulento">
          <a:extLst>
            <a:ext uri="{FF2B5EF4-FFF2-40B4-BE49-F238E27FC236}">
              <a16:creationId xmlns:a16="http://schemas.microsoft.com/office/drawing/2014/main" id="{AA7132A2-50B0-4BA4-87CF-8967769A59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24013" y="249238"/>
          <a:ext cx="750887" cy="458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biblioteca.inia.cl/bitstream/handle/123456789/7894/NR40309.pdf?sequence=1&amp;isAllowed=y" TargetMode="External"/><Relationship Id="rId1" Type="http://schemas.openxmlformats.org/officeDocument/2006/relationships/hyperlink" Target="https://www.gov.nl.ca/ecc/files/env-protection-science-gd-ppd-019-2.pdf" TargetMode="External"/><Relationship Id="rId4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6ADB5A-C897-4879-BF4D-326E74FFC10D}">
  <dimension ref="A15:H22"/>
  <sheetViews>
    <sheetView tabSelected="1" view="pageLayout" topLeftCell="A4" zoomScale="70" zoomScaleNormal="100" zoomScalePageLayoutView="70" workbookViewId="0">
      <selection activeCell="A15" sqref="A15:H15"/>
    </sheetView>
  </sheetViews>
  <sheetFormatPr baseColWidth="10" defaultRowHeight="14.5" x14ac:dyDescent="0.35"/>
  <sheetData>
    <row r="15" spans="1:8" ht="44" customHeight="1" x14ac:dyDescent="0.35">
      <c r="A15" s="82" t="s">
        <v>72</v>
      </c>
      <c r="B15" s="82"/>
      <c r="C15" s="82"/>
      <c r="D15" s="82"/>
      <c r="E15" s="82"/>
      <c r="F15" s="82"/>
      <c r="G15" s="82"/>
      <c r="H15" s="82"/>
    </row>
    <row r="18" spans="1:8" ht="46" customHeight="1" x14ac:dyDescent="0.35">
      <c r="A18" s="82" t="s">
        <v>53</v>
      </c>
      <c r="B18" s="82"/>
      <c r="C18" s="82"/>
      <c r="D18" s="82"/>
      <c r="E18" s="82"/>
      <c r="F18" s="82"/>
      <c r="G18" s="82"/>
      <c r="H18" s="82"/>
    </row>
    <row r="19" spans="1:8" ht="22.5" x14ac:dyDescent="0.35">
      <c r="E19" s="45"/>
    </row>
    <row r="20" spans="1:8" ht="22.5" x14ac:dyDescent="0.35">
      <c r="A20" s="83" t="s">
        <v>54</v>
      </c>
      <c r="B20" s="83"/>
      <c r="C20" s="83"/>
      <c r="D20" s="83"/>
      <c r="E20" s="83"/>
      <c r="F20" s="83"/>
      <c r="G20" s="83"/>
      <c r="H20" s="83"/>
    </row>
    <row r="21" spans="1:8" ht="22.5" x14ac:dyDescent="0.35">
      <c r="E21" s="46"/>
    </row>
    <row r="22" spans="1:8" ht="20.5" x14ac:dyDescent="0.35">
      <c r="A22" s="84" t="s">
        <v>55</v>
      </c>
      <c r="B22" s="84"/>
      <c r="C22" s="84"/>
      <c r="D22" s="84"/>
      <c r="E22" s="84"/>
      <c r="F22" s="84"/>
      <c r="G22" s="84"/>
      <c r="H22" s="84"/>
    </row>
  </sheetData>
  <mergeCells count="4">
    <mergeCell ref="A15:H15"/>
    <mergeCell ref="A18:H18"/>
    <mergeCell ref="A20:H20"/>
    <mergeCell ref="A22:H22"/>
  </mergeCells>
  <pageMargins left="0.7" right="0.7" top="0.75" bottom="0.75" header="0.3" footer="0.3"/>
  <pageSetup paperSize="9" orientation="portrait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0A1B52-7C34-4EF2-BB02-9AF804DE7ADF}">
  <dimension ref="A1:H40"/>
  <sheetViews>
    <sheetView view="pageLayout" zoomScale="70" zoomScaleNormal="90" zoomScalePageLayoutView="70" workbookViewId="0">
      <selection activeCell="A4" sqref="A4:C4"/>
    </sheetView>
  </sheetViews>
  <sheetFormatPr baseColWidth="10" defaultRowHeight="13.5" x14ac:dyDescent="0.25"/>
  <cols>
    <col min="1" max="1" width="27.90625" style="18" customWidth="1"/>
    <col min="2" max="2" width="15.54296875" style="18" bestFit="1" customWidth="1"/>
    <col min="3" max="4" width="15.453125" style="18" bestFit="1" customWidth="1"/>
    <col min="5" max="5" width="10.6328125" style="18" bestFit="1" customWidth="1"/>
    <col min="6" max="16384" width="10.90625" style="18"/>
  </cols>
  <sheetData>
    <row r="1" spans="1:5" ht="14" x14ac:dyDescent="0.3">
      <c r="A1" s="47" t="s">
        <v>56</v>
      </c>
    </row>
    <row r="2" spans="1:5" ht="14" thickBot="1" x14ac:dyDescent="0.3">
      <c r="B2" s="1"/>
      <c r="D2" s="19"/>
    </row>
    <row r="3" spans="1:5" ht="14" x14ac:dyDescent="0.25">
      <c r="A3" s="110" t="s">
        <v>52</v>
      </c>
      <c r="B3" s="106"/>
      <c r="C3" s="106"/>
      <c r="D3" s="106" t="s">
        <v>0</v>
      </c>
      <c r="E3" s="107"/>
    </row>
    <row r="4" spans="1:5" ht="14" thickBot="1" x14ac:dyDescent="0.3">
      <c r="A4" s="111" t="s">
        <v>1</v>
      </c>
      <c r="B4" s="112"/>
      <c r="C4" s="112"/>
      <c r="D4" s="108">
        <f>(75*1.25-75)/100</f>
        <v>0.1875</v>
      </c>
      <c r="E4" s="109"/>
    </row>
    <row r="5" spans="1:5" ht="14" thickBot="1" x14ac:dyDescent="0.3">
      <c r="B5" s="1"/>
      <c r="D5" s="19"/>
    </row>
    <row r="6" spans="1:5" ht="14.5" thickBot="1" x14ac:dyDescent="0.35">
      <c r="A6" s="99" t="s">
        <v>16</v>
      </c>
      <c r="B6" s="100"/>
      <c r="C6" s="100"/>
      <c r="D6" s="100"/>
      <c r="E6" s="101"/>
    </row>
    <row r="7" spans="1:5" ht="14" x14ac:dyDescent="0.25">
      <c r="A7" s="110" t="s">
        <v>2</v>
      </c>
      <c r="B7" s="106"/>
      <c r="C7" s="107"/>
      <c r="D7" s="16" t="s">
        <v>23</v>
      </c>
      <c r="E7" s="14" t="s">
        <v>10</v>
      </c>
    </row>
    <row r="8" spans="1:5" ht="16.5" x14ac:dyDescent="0.25">
      <c r="A8" s="3" t="s">
        <v>3</v>
      </c>
      <c r="B8" s="2" t="s">
        <v>44</v>
      </c>
      <c r="C8" s="4" t="s">
        <v>45</v>
      </c>
      <c r="D8" s="20" t="s">
        <v>11</v>
      </c>
      <c r="E8" s="21">
        <v>1.9</v>
      </c>
    </row>
    <row r="9" spans="1:5" x14ac:dyDescent="0.25">
      <c r="A9" s="20" t="s">
        <v>4</v>
      </c>
      <c r="B9" s="22">
        <v>17000</v>
      </c>
      <c r="C9" s="23">
        <f>B9/10000</f>
        <v>1.7</v>
      </c>
      <c r="D9" s="20" t="s">
        <v>12</v>
      </c>
      <c r="E9" s="21">
        <v>8.5</v>
      </c>
    </row>
    <row r="10" spans="1:5" ht="14" thickBot="1" x14ac:dyDescent="0.3">
      <c r="A10" s="20" t="s">
        <v>5</v>
      </c>
      <c r="B10" s="22">
        <f>170*5</f>
        <v>850</v>
      </c>
      <c r="C10" s="23">
        <f t="shared" ref="C10:C14" si="0">B10/10000</f>
        <v>8.5000000000000006E-2</v>
      </c>
      <c r="D10" s="24" t="s">
        <v>24</v>
      </c>
      <c r="E10" s="25">
        <v>15.8</v>
      </c>
    </row>
    <row r="11" spans="1:5" ht="14" x14ac:dyDescent="0.25">
      <c r="A11" s="20" t="s">
        <v>6</v>
      </c>
      <c r="B11" s="22">
        <f>100*5</f>
        <v>500</v>
      </c>
      <c r="C11" s="23">
        <f t="shared" si="0"/>
        <v>0.05</v>
      </c>
      <c r="D11" s="16" t="s">
        <v>13</v>
      </c>
      <c r="E11" s="26">
        <f>E8*(E9/1.5)*(E10/15)</f>
        <v>11.340888888888891</v>
      </c>
    </row>
    <row r="12" spans="1:5" ht="14" x14ac:dyDescent="0.25">
      <c r="A12" s="20" t="s">
        <v>7</v>
      </c>
      <c r="B12" s="22">
        <f>170*5</f>
        <v>850</v>
      </c>
      <c r="C12" s="23">
        <f t="shared" si="0"/>
        <v>8.5000000000000006E-2</v>
      </c>
      <c r="D12" s="5" t="s">
        <v>14</v>
      </c>
      <c r="E12" s="27">
        <f>C9+(SUM(C10:C13)/2)</f>
        <v>1.835</v>
      </c>
    </row>
    <row r="13" spans="1:5" ht="14.5" thickBot="1" x14ac:dyDescent="0.3">
      <c r="A13" s="20" t="s">
        <v>8</v>
      </c>
      <c r="B13" s="22">
        <f>100*5</f>
        <v>500</v>
      </c>
      <c r="C13" s="23">
        <f t="shared" si="0"/>
        <v>0.05</v>
      </c>
      <c r="D13" s="6" t="s">
        <v>15</v>
      </c>
      <c r="E13" s="28">
        <f>E11*E12</f>
        <v>20.810531111111114</v>
      </c>
    </row>
    <row r="14" spans="1:5" ht="14.5" thickBot="1" x14ac:dyDescent="0.3">
      <c r="A14" s="29" t="s">
        <v>9</v>
      </c>
      <c r="B14" s="30">
        <f>SUM(B9:B13)</f>
        <v>19700</v>
      </c>
      <c r="C14" s="31">
        <f t="shared" si="0"/>
        <v>1.97</v>
      </c>
    </row>
    <row r="15" spans="1:5" ht="14" thickBot="1" x14ac:dyDescent="0.3"/>
    <row r="16" spans="1:5" ht="14.5" thickBot="1" x14ac:dyDescent="0.35">
      <c r="A16" s="99" t="s">
        <v>22</v>
      </c>
      <c r="B16" s="100"/>
      <c r="C16" s="100"/>
      <c r="D16" s="100"/>
      <c r="E16" s="101"/>
    </row>
    <row r="17" spans="1:8" ht="14.5" thickBot="1" x14ac:dyDescent="0.3">
      <c r="A17" s="113" t="s">
        <v>17</v>
      </c>
      <c r="B17" s="114"/>
      <c r="C17" s="115"/>
      <c r="D17" s="8" t="s">
        <v>23</v>
      </c>
      <c r="E17" s="9" t="s">
        <v>10</v>
      </c>
      <c r="F17" s="32"/>
      <c r="G17" s="32"/>
      <c r="H17" s="32"/>
    </row>
    <row r="18" spans="1:8" ht="28" customHeight="1" thickBot="1" x14ac:dyDescent="0.3">
      <c r="A18" s="13" t="s">
        <v>18</v>
      </c>
      <c r="B18" s="116" t="s">
        <v>46</v>
      </c>
      <c r="C18" s="117"/>
      <c r="D18" s="33" t="s">
        <v>11</v>
      </c>
      <c r="E18" s="34">
        <v>0.74</v>
      </c>
      <c r="F18" s="32"/>
      <c r="G18" s="32"/>
    </row>
    <row r="19" spans="1:8" x14ac:dyDescent="0.25">
      <c r="A19" s="15">
        <v>44044</v>
      </c>
      <c r="B19" s="93">
        <v>51544.41</v>
      </c>
      <c r="C19" s="94"/>
      <c r="D19" s="20" t="s">
        <v>19</v>
      </c>
      <c r="E19" s="21">
        <v>3.54</v>
      </c>
      <c r="F19" s="32"/>
      <c r="G19" s="35"/>
    </row>
    <row r="20" spans="1:8" x14ac:dyDescent="0.25">
      <c r="A20" s="15">
        <v>44075</v>
      </c>
      <c r="B20" s="91" t="s">
        <v>21</v>
      </c>
      <c r="C20" s="92"/>
      <c r="D20" s="36" t="s">
        <v>20</v>
      </c>
      <c r="E20" s="37">
        <v>5.4</v>
      </c>
      <c r="F20" s="32"/>
      <c r="G20" s="35"/>
    </row>
    <row r="21" spans="1:8" ht="14" x14ac:dyDescent="0.25">
      <c r="A21" s="15">
        <v>44105</v>
      </c>
      <c r="B21" s="93">
        <v>68107.75</v>
      </c>
      <c r="C21" s="94"/>
      <c r="D21" s="5" t="s">
        <v>26</v>
      </c>
      <c r="E21" s="38">
        <f>E18*(0.0016)*(((E19/2.2)^1.3)/((E20/2)^1.4))</f>
        <v>5.4701242121103267E-4</v>
      </c>
      <c r="F21" s="32"/>
      <c r="G21" s="35"/>
    </row>
    <row r="22" spans="1:8" ht="14" x14ac:dyDescent="0.25">
      <c r="A22" s="15">
        <v>44136</v>
      </c>
      <c r="B22" s="93">
        <v>103843.95</v>
      </c>
      <c r="C22" s="94"/>
      <c r="D22" s="5" t="s">
        <v>27</v>
      </c>
      <c r="E22" s="39">
        <f>SUM(B19:B24)</f>
        <v>300554.55</v>
      </c>
      <c r="F22" s="32"/>
      <c r="G22" s="35"/>
    </row>
    <row r="23" spans="1:8" ht="14" x14ac:dyDescent="0.25">
      <c r="A23" s="15">
        <v>44166</v>
      </c>
      <c r="B23" s="93">
        <v>48608.800000000003</v>
      </c>
      <c r="C23" s="94"/>
      <c r="D23" s="11" t="s">
        <v>28</v>
      </c>
      <c r="E23" s="27">
        <f>E21*E22</f>
        <v>164.40707210149236</v>
      </c>
      <c r="F23" s="32"/>
      <c r="G23" s="35"/>
    </row>
    <row r="24" spans="1:8" ht="14.5" thickBot="1" x14ac:dyDescent="0.3">
      <c r="A24" s="15">
        <v>44197</v>
      </c>
      <c r="B24" s="93">
        <v>28449.64</v>
      </c>
      <c r="C24" s="94"/>
      <c r="D24" s="12" t="s">
        <v>15</v>
      </c>
      <c r="E24" s="28">
        <f>+E23/B25</f>
        <v>0.89351669620376284</v>
      </c>
      <c r="F24" s="32"/>
      <c r="G24" s="35"/>
    </row>
    <row r="25" spans="1:8" ht="14.5" thickBot="1" x14ac:dyDescent="0.3">
      <c r="A25" s="7" t="s">
        <v>25</v>
      </c>
      <c r="B25" s="97">
        <f>31+30+31+30+31+31</f>
        <v>184</v>
      </c>
      <c r="C25" s="98"/>
      <c r="F25" s="32"/>
      <c r="G25" s="35"/>
    </row>
    <row r="26" spans="1:8" ht="14" thickBot="1" x14ac:dyDescent="0.3">
      <c r="C26" s="32"/>
      <c r="G26" s="35"/>
      <c r="H26" s="32"/>
    </row>
    <row r="27" spans="1:8" ht="15" customHeight="1" thickBot="1" x14ac:dyDescent="0.35">
      <c r="A27" s="99" t="s">
        <v>34</v>
      </c>
      <c r="B27" s="100"/>
      <c r="C27" s="100"/>
      <c r="D27" s="100"/>
      <c r="E27" s="101"/>
    </row>
    <row r="28" spans="1:8" ht="14.5" thickBot="1" x14ac:dyDescent="0.3">
      <c r="A28" s="16" t="s">
        <v>36</v>
      </c>
      <c r="B28" s="102">
        <v>0.65</v>
      </c>
      <c r="C28" s="103"/>
      <c r="D28" s="8" t="s">
        <v>35</v>
      </c>
      <c r="E28" s="9" t="s">
        <v>10</v>
      </c>
    </row>
    <row r="29" spans="1:8" ht="14.5" thickBot="1" x14ac:dyDescent="0.3">
      <c r="A29" s="6" t="s">
        <v>29</v>
      </c>
      <c r="B29" s="104">
        <v>54</v>
      </c>
      <c r="C29" s="105"/>
      <c r="D29" s="33" t="s">
        <v>30</v>
      </c>
      <c r="E29" s="34">
        <v>1381.31</v>
      </c>
      <c r="G29" s="32"/>
    </row>
    <row r="30" spans="1:8" x14ac:dyDescent="0.25">
      <c r="D30" s="20" t="s">
        <v>31</v>
      </c>
      <c r="E30" s="21">
        <v>7.1</v>
      </c>
    </row>
    <row r="31" spans="1:8" x14ac:dyDescent="0.25">
      <c r="D31" s="20" t="s">
        <v>32</v>
      </c>
      <c r="E31" s="21">
        <v>28</v>
      </c>
    </row>
    <row r="32" spans="1:8" ht="14" x14ac:dyDescent="0.25">
      <c r="D32" s="5" t="s">
        <v>33</v>
      </c>
      <c r="E32" s="44">
        <f>E29*((E30/12)^0.7)*((E31/2.72)^0.45)</f>
        <v>2731.5567961855381</v>
      </c>
    </row>
    <row r="33" spans="1:5" ht="14" x14ac:dyDescent="0.25">
      <c r="D33" s="5" t="s">
        <v>37</v>
      </c>
      <c r="E33" s="39">
        <f>B28*B29</f>
        <v>35.1</v>
      </c>
    </row>
    <row r="34" spans="1:5" ht="14" x14ac:dyDescent="0.25">
      <c r="A34" s="32"/>
      <c r="B34" s="32"/>
      <c r="D34" s="5" t="s">
        <v>0</v>
      </c>
      <c r="E34" s="40">
        <f>+D4</f>
        <v>0.1875</v>
      </c>
    </row>
    <row r="35" spans="1:5" ht="14.5" thickBot="1" x14ac:dyDescent="0.3">
      <c r="A35" s="32"/>
      <c r="B35" s="32"/>
      <c r="D35" s="6" t="s">
        <v>15</v>
      </c>
      <c r="E35" s="41">
        <f>E32*E33*(1-E34)/1000</f>
        <v>77.900585381216317</v>
      </c>
    </row>
    <row r="36" spans="1:5" ht="14" thickBot="1" x14ac:dyDescent="0.3"/>
    <row r="37" spans="1:5" ht="28" x14ac:dyDescent="0.25">
      <c r="A37" s="95" t="s">
        <v>49</v>
      </c>
      <c r="B37" s="96"/>
      <c r="C37" s="17" t="s">
        <v>39</v>
      </c>
      <c r="D37" s="10" t="s">
        <v>40</v>
      </c>
    </row>
    <row r="38" spans="1:5" x14ac:dyDescent="0.25">
      <c r="A38" s="85" t="s">
        <v>50</v>
      </c>
      <c r="B38" s="86"/>
      <c r="C38" s="42">
        <f>+E13*$B$25/1000</f>
        <v>3.8291377244444451</v>
      </c>
      <c r="D38" s="89">
        <f>SUM(C38:C40)</f>
        <v>18.327252506689739</v>
      </c>
    </row>
    <row r="39" spans="1:5" x14ac:dyDescent="0.25">
      <c r="A39" s="85" t="s">
        <v>51</v>
      </c>
      <c r="B39" s="86"/>
      <c r="C39" s="42">
        <f>+E24*$B$25/1000</f>
        <v>0.16440707210149236</v>
      </c>
      <c r="D39" s="89"/>
    </row>
    <row r="40" spans="1:5" ht="23" customHeight="1" thickBot="1" x14ac:dyDescent="0.3">
      <c r="A40" s="87" t="s">
        <v>38</v>
      </c>
      <c r="B40" s="88"/>
      <c r="C40" s="43">
        <f>+E35*$B$25/1000</f>
        <v>14.333707710143802</v>
      </c>
      <c r="D40" s="90"/>
    </row>
  </sheetData>
  <mergeCells count="24">
    <mergeCell ref="D3:E3"/>
    <mergeCell ref="D4:E4"/>
    <mergeCell ref="A3:C3"/>
    <mergeCell ref="A4:C4"/>
    <mergeCell ref="B24:C24"/>
    <mergeCell ref="A7:C7"/>
    <mergeCell ref="A6:E6"/>
    <mergeCell ref="A16:E16"/>
    <mergeCell ref="A17:C17"/>
    <mergeCell ref="B18:C18"/>
    <mergeCell ref="B19:C19"/>
    <mergeCell ref="A39:B39"/>
    <mergeCell ref="A40:B40"/>
    <mergeCell ref="D38:D40"/>
    <mergeCell ref="B20:C20"/>
    <mergeCell ref="B21:C21"/>
    <mergeCell ref="B22:C22"/>
    <mergeCell ref="A37:B37"/>
    <mergeCell ref="A38:B38"/>
    <mergeCell ref="B25:C25"/>
    <mergeCell ref="A27:E27"/>
    <mergeCell ref="B28:C28"/>
    <mergeCell ref="B29:C29"/>
    <mergeCell ref="B23:C23"/>
  </mergeCells>
  <pageMargins left="0.7" right="0.7" top="0.75" bottom="0.75" header="0.3" footer="0.3"/>
  <pageSetup paperSize="9" orientation="portrait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5D90FC-3BBD-448D-B694-A02EDE4B15B5}">
  <dimension ref="A1:D31"/>
  <sheetViews>
    <sheetView view="pageLayout" topLeftCell="A7" zoomScale="70" zoomScaleNormal="60" zoomScalePageLayoutView="70" workbookViewId="0">
      <selection activeCell="C24" sqref="C24"/>
    </sheetView>
  </sheetViews>
  <sheetFormatPr baseColWidth="10" defaultRowHeight="13.5" x14ac:dyDescent="0.25"/>
  <cols>
    <col min="1" max="1" width="25.81640625" style="48" customWidth="1"/>
    <col min="2" max="2" width="20.54296875" style="48" customWidth="1"/>
    <col min="3" max="3" width="22.54296875" style="48" customWidth="1"/>
    <col min="4" max="4" width="16.08984375" style="18" customWidth="1"/>
    <col min="5" max="5" width="30.90625" style="18" bestFit="1" customWidth="1"/>
    <col min="6" max="6" width="23.81640625" style="18" customWidth="1"/>
    <col min="7" max="7" width="11.7265625" style="18" customWidth="1"/>
    <col min="8" max="8" width="8.7265625" style="18" customWidth="1"/>
    <col min="9" max="9" width="10.90625" style="18"/>
    <col min="10" max="10" width="20.7265625" style="18" bestFit="1" customWidth="1"/>
    <col min="11" max="16384" width="10.90625" style="18"/>
  </cols>
  <sheetData>
    <row r="1" spans="1:4" ht="14" x14ac:dyDescent="0.3">
      <c r="A1" s="47" t="s">
        <v>71</v>
      </c>
      <c r="B1" s="18"/>
      <c r="C1" s="18"/>
    </row>
    <row r="2" spans="1:4" ht="14" thickBot="1" x14ac:dyDescent="0.3">
      <c r="A2" s="18"/>
      <c r="B2" s="1"/>
      <c r="C2" s="18"/>
      <c r="D2" s="19"/>
    </row>
    <row r="3" spans="1:4" ht="14.5" thickBot="1" x14ac:dyDescent="0.35">
      <c r="A3" s="125" t="s">
        <v>57</v>
      </c>
      <c r="B3" s="126"/>
    </row>
    <row r="4" spans="1:4" x14ac:dyDescent="0.25">
      <c r="A4" s="73"/>
      <c r="B4" s="74"/>
    </row>
    <row r="5" spans="1:4" x14ac:dyDescent="0.25">
      <c r="A5" s="75"/>
      <c r="B5" s="76"/>
    </row>
    <row r="6" spans="1:4" ht="14" thickBot="1" x14ac:dyDescent="0.3">
      <c r="A6" s="77"/>
      <c r="B6" s="78"/>
    </row>
    <row r="7" spans="1:4" ht="14.5" thickBot="1" x14ac:dyDescent="0.35">
      <c r="A7" s="123" t="s">
        <v>41</v>
      </c>
      <c r="B7" s="124"/>
      <c r="C7" s="69"/>
    </row>
    <row r="8" spans="1:4" ht="17" x14ac:dyDescent="0.3">
      <c r="A8" s="50" t="s">
        <v>62</v>
      </c>
      <c r="B8" s="51">
        <v>2.6589999999999998</v>
      </c>
      <c r="C8" s="70" t="s">
        <v>60</v>
      </c>
      <c r="D8" s="52"/>
    </row>
    <row r="9" spans="1:4" ht="17" x14ac:dyDescent="0.3">
      <c r="A9" s="53" t="s">
        <v>63</v>
      </c>
      <c r="B9" s="49">
        <v>5</v>
      </c>
      <c r="C9" s="70" t="s">
        <v>61</v>
      </c>
      <c r="D9" s="52"/>
    </row>
    <row r="10" spans="1:4" ht="17" thickBot="1" x14ac:dyDescent="0.3">
      <c r="A10" s="54" t="s">
        <v>64</v>
      </c>
      <c r="B10" s="55">
        <f>((B8*'Emisiones Escenario Previo'!C40+B9*('Emisiones Escenario Previo'!C38+'Emisiones Escenario Previo'!C39))/('Emisiones Escenario Previo'!C38+'Emisiones Escenario Previo'!C39+'Emisiones Escenario Previo'!C40))*1000</f>
        <v>3169.1085591144415</v>
      </c>
    </row>
    <row r="11" spans="1:4" ht="16.5" x14ac:dyDescent="0.25">
      <c r="A11" s="53" t="s">
        <v>65</v>
      </c>
      <c r="B11" s="56">
        <v>1.2040999999999999</v>
      </c>
    </row>
    <row r="12" spans="1:4" x14ac:dyDescent="0.25">
      <c r="A12" s="53" t="s">
        <v>66</v>
      </c>
      <c r="B12" s="57">
        <v>1.8E-5</v>
      </c>
    </row>
    <row r="13" spans="1:4" ht="16.5" x14ac:dyDescent="0.25">
      <c r="A13" s="53" t="s">
        <v>67</v>
      </c>
      <c r="B13" s="49">
        <v>9.81</v>
      </c>
    </row>
    <row r="14" spans="1:4" ht="14" thickBot="1" x14ac:dyDescent="0.3">
      <c r="A14" s="54" t="s">
        <v>58</v>
      </c>
      <c r="B14" s="58">
        <v>3.0000000000000001E-5</v>
      </c>
    </row>
    <row r="15" spans="1:4" ht="27.5" customHeight="1" x14ac:dyDescent="0.25">
      <c r="A15" s="71" t="s">
        <v>59</v>
      </c>
      <c r="B15" s="72">
        <f>((B14^2)*(B10-B11)*B13)/(18*B12)</f>
        <v>8.6325396510868527E-2</v>
      </c>
    </row>
    <row r="16" spans="1:4" ht="14" thickBot="1" x14ac:dyDescent="0.3">
      <c r="A16" s="59" t="s">
        <v>42</v>
      </c>
      <c r="B16" s="60">
        <f>+(B11*B15*B14)/B12</f>
        <v>0.17324068323122799</v>
      </c>
    </row>
    <row r="17" spans="1:4" ht="14" thickBot="1" x14ac:dyDescent="0.3"/>
    <row r="18" spans="1:4" ht="14.5" thickBot="1" x14ac:dyDescent="0.3">
      <c r="A18" s="122" t="s">
        <v>43</v>
      </c>
      <c r="B18" s="116"/>
      <c r="C18" s="116"/>
      <c r="D18" s="117"/>
    </row>
    <row r="19" spans="1:4" ht="44.5" x14ac:dyDescent="0.25">
      <c r="A19" s="61" t="s">
        <v>47</v>
      </c>
      <c r="B19" s="62" t="s">
        <v>68</v>
      </c>
      <c r="C19" s="62" t="s">
        <v>69</v>
      </c>
      <c r="D19" s="63" t="s">
        <v>70</v>
      </c>
    </row>
    <row r="20" spans="1:4" x14ac:dyDescent="0.25">
      <c r="A20" s="64">
        <v>200</v>
      </c>
      <c r="B20" s="66">
        <v>230.9</v>
      </c>
      <c r="C20" s="65">
        <f t="shared" ref="C20:C28" si="0">+B20*0.08</f>
        <v>18.472000000000001</v>
      </c>
      <c r="D20" s="79">
        <f t="shared" ref="D20:D28" si="1">+(C20*$B$15)*86400/1000</f>
        <v>137.77367538373318</v>
      </c>
    </row>
    <row r="21" spans="1:4" x14ac:dyDescent="0.25">
      <c r="A21" s="64">
        <v>300</v>
      </c>
      <c r="B21" s="66">
        <v>236.5</v>
      </c>
      <c r="C21" s="65">
        <f t="shared" si="0"/>
        <v>18.920000000000002</v>
      </c>
      <c r="D21" s="79">
        <f t="shared" si="1"/>
        <v>141.11508977155864</v>
      </c>
    </row>
    <row r="22" spans="1:4" x14ac:dyDescent="0.25">
      <c r="A22" s="64">
        <v>400</v>
      </c>
      <c r="B22" s="66">
        <v>218.2</v>
      </c>
      <c r="C22" s="65">
        <f t="shared" si="0"/>
        <v>17.456</v>
      </c>
      <c r="D22" s="79">
        <f t="shared" si="1"/>
        <v>130.19582489705749</v>
      </c>
    </row>
    <row r="23" spans="1:4" x14ac:dyDescent="0.25">
      <c r="A23" s="64">
        <v>500</v>
      </c>
      <c r="B23" s="66">
        <v>197.1</v>
      </c>
      <c r="C23" s="65">
        <f t="shared" si="0"/>
        <v>15.768000000000001</v>
      </c>
      <c r="D23" s="79">
        <f t="shared" si="1"/>
        <v>117.60585282864361</v>
      </c>
    </row>
    <row r="24" spans="1:4" x14ac:dyDescent="0.25">
      <c r="A24" s="64">
        <v>1000</v>
      </c>
      <c r="B24" s="66">
        <v>123.3</v>
      </c>
      <c r="C24" s="65">
        <f t="shared" si="0"/>
        <v>9.8640000000000008</v>
      </c>
      <c r="D24" s="79">
        <f t="shared" si="1"/>
        <v>73.5707846462291</v>
      </c>
    </row>
    <row r="25" spans="1:4" x14ac:dyDescent="0.25">
      <c r="A25" s="64">
        <v>1500</v>
      </c>
      <c r="B25" s="66">
        <v>84.49</v>
      </c>
      <c r="C25" s="65">
        <f t="shared" si="0"/>
        <v>6.7591999999999999</v>
      </c>
      <c r="D25" s="79">
        <f t="shared" si="1"/>
        <v>50.413589576317086</v>
      </c>
    </row>
    <row r="26" spans="1:4" x14ac:dyDescent="0.25">
      <c r="A26" s="64">
        <v>2000</v>
      </c>
      <c r="B26" s="66">
        <v>61</v>
      </c>
      <c r="C26" s="65">
        <f t="shared" si="0"/>
        <v>4.88</v>
      </c>
      <c r="D26" s="79">
        <f t="shared" si="1"/>
        <v>36.397549581670518</v>
      </c>
    </row>
    <row r="27" spans="1:4" x14ac:dyDescent="0.25">
      <c r="A27" s="64">
        <v>2500</v>
      </c>
      <c r="B27" s="66">
        <v>46.92</v>
      </c>
      <c r="C27" s="65">
        <f t="shared" si="0"/>
        <v>3.7536</v>
      </c>
      <c r="D27" s="79">
        <f t="shared" si="1"/>
        <v>27.99627912085214</v>
      </c>
    </row>
    <row r="28" spans="1:4" ht="14" thickBot="1" x14ac:dyDescent="0.3">
      <c r="A28" s="67">
        <v>3000</v>
      </c>
      <c r="B28" s="81">
        <v>37.42</v>
      </c>
      <c r="C28" s="68">
        <f t="shared" si="0"/>
        <v>2.9936000000000003</v>
      </c>
      <c r="D28" s="80">
        <f t="shared" si="1"/>
        <v>22.327808284362476</v>
      </c>
    </row>
    <row r="29" spans="1:4" ht="14" thickBot="1" x14ac:dyDescent="0.3"/>
    <row r="30" spans="1:4" ht="14.5" thickBot="1" x14ac:dyDescent="0.3">
      <c r="A30" s="122" t="s">
        <v>48</v>
      </c>
      <c r="B30" s="116"/>
      <c r="C30" s="116"/>
      <c r="D30" s="117"/>
    </row>
    <row r="31" spans="1:4" ht="17" thickBot="1" x14ac:dyDescent="0.35">
      <c r="A31" s="120" t="s">
        <v>70</v>
      </c>
      <c r="B31" s="121"/>
      <c r="C31" s="118">
        <f>MAX(D20:D28)</f>
        <v>141.11508977155864</v>
      </c>
      <c r="D31" s="119"/>
    </row>
  </sheetData>
  <mergeCells count="6">
    <mergeCell ref="C31:D31"/>
    <mergeCell ref="A31:B31"/>
    <mergeCell ref="A30:D30"/>
    <mergeCell ref="A7:B7"/>
    <mergeCell ref="A3:B3"/>
    <mergeCell ref="A18:D18"/>
  </mergeCells>
  <hyperlinks>
    <hyperlink ref="C9" r:id="rId1" display="Guideline for Plume Dispersion Modelling, 2012." xr:uid="{92718D33-3BDD-4921-B644-5F9F345D1645}"/>
    <hyperlink ref="C8" r:id="rId2" location=":~:text=La%20densidad%20aparente%20es%20un,%2C25%20g%20cm%E2%88%923." display="Propiedades Físico Quimicas del Suelo" xr:uid="{46202B05-18DC-425B-AA0F-68649700458A}"/>
  </hyperlinks>
  <pageMargins left="0.7" right="0.7" top="0.75" bottom="0.75" header="0.3" footer="0.3"/>
  <pageSetup paperSize="9" orientation="portrait" verticalDpi="300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Portada</vt:lpstr>
      <vt:lpstr>Emisiones Escenario Previo</vt:lpstr>
      <vt:lpstr>Resultados Screen3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Mariana Garcia</dc:creator>
  <cp:lastModifiedBy>Mariana Garcia</cp:lastModifiedBy>
  <dcterms:created xsi:type="dcterms:W3CDTF">2021-07-27T23:13:46Z</dcterms:created>
  <dcterms:modified xsi:type="dcterms:W3CDTF">2021-08-03T22:50:39Z</dcterms:modified>
</cp:coreProperties>
</file>